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updateLinks="always" defaultThemeVersion="202300"/>
  <mc:AlternateContent xmlns:mc="http://schemas.openxmlformats.org/markup-compatibility/2006">
    <mc:Choice Requires="x15">
      <x15ac:absPath xmlns:x15ac="http://schemas.microsoft.com/office/spreadsheetml/2010/11/ac" url="https://assyntdevtr.sharepoint.com/sites/ADTOperations/Shared Documents/Finance/Accounts 2026/Paula's Working Files/"/>
    </mc:Choice>
  </mc:AlternateContent>
  <xr:revisionPtr revIDLastSave="247" documentId="8_{BF487A97-3BC7-4EB8-B0F8-3A7718BB8810}" xr6:coauthVersionLast="47" xr6:coauthVersionMax="47" xr10:uidLastSave="{7060AF5A-DA0C-4C3F-A68A-F4A682C90CAE}"/>
  <bookViews>
    <workbookView xWindow="28680" yWindow="-120" windowWidth="29040" windowHeight="15720" xr2:uid="{2423A5FF-B779-4282-B96A-C07175C43330}"/>
  </bookViews>
  <sheets>
    <sheet name="Financial Position" sheetId="1" r:id="rId1"/>
    <sheet name="Cash Graph" sheetId="3" r:id="rId2"/>
    <sheet name="Budgeted Cashflow Detail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38" i="1" l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17" i="1"/>
  <c r="D16" i="1"/>
  <c r="D15" i="1"/>
  <c r="D12" i="1"/>
  <c r="D7" i="1"/>
  <c r="D8" i="1"/>
  <c r="D9" i="1"/>
  <c r="D10" i="1"/>
  <c r="D11" i="1"/>
  <c r="D6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16" i="1"/>
  <c r="B16" i="1"/>
  <c r="C30" i="1"/>
  <c r="B30" i="1"/>
  <c r="C29" i="1"/>
  <c r="B29" i="1"/>
  <c r="C28" i="1"/>
  <c r="B28" i="1"/>
  <c r="C27" i="1"/>
  <c r="B27" i="1"/>
  <c r="C26" i="1"/>
  <c r="B26" i="1"/>
  <c r="C25" i="1"/>
  <c r="B25" i="1"/>
  <c r="C23" i="1"/>
  <c r="B23" i="1"/>
  <c r="C22" i="1"/>
  <c r="B22" i="1"/>
  <c r="C15" i="1"/>
  <c r="B15" i="1"/>
  <c r="C21" i="1"/>
  <c r="B21" i="1"/>
  <c r="C11" i="1"/>
  <c r="B11" i="1"/>
  <c r="C10" i="1"/>
  <c r="B10" i="1"/>
  <c r="C9" i="1"/>
  <c r="B9" i="1"/>
  <c r="C8" i="1"/>
  <c r="B8" i="1"/>
  <c r="C7" i="1"/>
  <c r="B7" i="1"/>
  <c r="C6" i="1"/>
  <c r="B6" i="1"/>
  <c r="B24" i="1" l="1"/>
  <c r="B17" i="1"/>
  <c r="C12" i="1"/>
  <c r="C17" i="1"/>
  <c r="B38" i="1" l="1"/>
  <c r="B12" i="1"/>
  <c r="C38" i="1"/>
  <c r="C40" i="1" s="1"/>
  <c r="B40" i="1" l="1"/>
</calcChain>
</file>

<file path=xl/sharedStrings.xml><?xml version="1.0" encoding="utf-8"?>
<sst xmlns="http://schemas.openxmlformats.org/spreadsheetml/2006/main" count="267" uniqueCount="50">
  <si>
    <t xml:space="preserve">ASSYNT DEVELOPMENT TRUST 26/27 </t>
  </si>
  <si>
    <t>CONSOLIDATED CASHFLOW</t>
  </si>
  <si>
    <t>Budgeted</t>
  </si>
  <si>
    <t>Actual</t>
  </si>
  <si>
    <t>£</t>
  </si>
  <si>
    <t>INCOME</t>
  </si>
  <si>
    <t>Donations</t>
  </si>
  <si>
    <t>E-Bike Income</t>
  </si>
  <si>
    <t>Interst Income</t>
  </si>
  <si>
    <t>North West Highland Walkers Inc</t>
  </si>
  <si>
    <t>Other Revenue</t>
  </si>
  <si>
    <t>Restricted Grant</t>
  </si>
  <si>
    <t>Total Income</t>
  </si>
  <si>
    <t>STAFF COSTS</t>
  </si>
  <si>
    <t>Direct Wages</t>
  </si>
  <si>
    <t>Pension Costs</t>
  </si>
  <si>
    <t>Total Staff Costs</t>
  </si>
  <si>
    <t>NON-STAFF EXPENDITURE</t>
  </si>
  <si>
    <t>Direct Expenses</t>
  </si>
  <si>
    <t>Food Larder Supplies</t>
  </si>
  <si>
    <t>Contractor Costs</t>
  </si>
  <si>
    <t>Audit &amp; Accountancy Fees</t>
  </si>
  <si>
    <t>Advertising &amp; Marketing</t>
  </si>
  <si>
    <t xml:space="preserve">Awards </t>
  </si>
  <si>
    <t>Bank Fees</t>
  </si>
  <si>
    <t>Governance &amp; Board costs</t>
  </si>
  <si>
    <t>Insurance</t>
  </si>
  <si>
    <t>IT Software &amp; consumables</t>
  </si>
  <si>
    <t>Professional Fees</t>
  </si>
  <si>
    <t>Room Hire</t>
  </si>
  <si>
    <t>Staff Training</t>
  </si>
  <si>
    <t>Subscriptions</t>
  </si>
  <si>
    <t>Telephone &amp; Internet</t>
  </si>
  <si>
    <t>Travel &amp; Subsistence</t>
  </si>
  <si>
    <t>Website Costs</t>
  </si>
  <si>
    <t>Total Non-Staff Costs</t>
  </si>
  <si>
    <r>
      <t>Surplus/(</t>
    </r>
    <r>
      <rPr>
        <b/>
        <sz val="11"/>
        <color rgb="FFFF0000"/>
        <rFont val="Aptos Narrow"/>
        <family val="2"/>
        <scheme val="minor"/>
      </rPr>
      <t>Deficit</t>
    </r>
    <r>
      <rPr>
        <b/>
        <sz val="11"/>
        <color theme="1"/>
        <rFont val="Aptos Narrow"/>
        <family val="2"/>
        <scheme val="minor"/>
      </rPr>
      <t>)</t>
    </r>
  </si>
  <si>
    <t>Opening Bank Balance</t>
  </si>
  <si>
    <t>Movement</t>
  </si>
  <si>
    <t>Closing Bank Balance</t>
  </si>
  <si>
    <t>Total</t>
  </si>
  <si>
    <t xml:space="preserve"> -   </t>
  </si>
  <si>
    <r>
      <t>Surplus/(</t>
    </r>
    <r>
      <rPr>
        <b/>
        <sz val="11"/>
        <color rgb="FFFF0000"/>
        <rFont val="Calibri"/>
        <family val="2"/>
      </rPr>
      <t>Deficit</t>
    </r>
    <r>
      <rPr>
        <b/>
        <sz val="11"/>
        <color rgb="FF000000"/>
        <rFont val="Calibri"/>
        <family val="2"/>
      </rPr>
      <t>)</t>
    </r>
  </si>
  <si>
    <t>CONSOLIDATED POSITION</t>
  </si>
  <si>
    <t>Jan - May 26</t>
  </si>
  <si>
    <t>Timing of Local Place Plan income - actually received June</t>
  </si>
  <si>
    <t>Variance</t>
  </si>
  <si>
    <t>Budget includes amount for RLUP, actual spend will be coded against relevent category below</t>
  </si>
  <si>
    <t>ASSYNT DEVELOPMENT TRUST 26</t>
  </si>
  <si>
    <t>includes £170 for PPL PRS Music Licence. Timing of spend for Prof fees for Glebe land.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</si>
</sst>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_-* #,##0_-;\-* #,##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2" fillId="0" borderId="2" xfId="0" applyFont="1" applyBorder="1"/>
    <xf numFmtId="43" fontId="0" fillId="0" borderId="0" xfId="1" applyFont="1" applyBorder="1"/>
    <xf numFmtId="43" fontId="0" fillId="0" borderId="0" xfId="1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1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6" fillId="0" borderId="1" xfId="0" applyFont="1" applyBorder="1"/>
    <xf numFmtId="0" fontId="5" fillId="0" borderId="2" xfId="0" applyFont="1" applyBorder="1"/>
    <xf numFmtId="169" fontId="6" fillId="0" borderId="0" xfId="1" applyNumberFormat="1" applyFont="1" applyAlignment="1">
      <alignment horizontal="center"/>
    </xf>
    <xf numFmtId="169" fontId="6" fillId="0" borderId="1" xfId="1" applyNumberFormat="1" applyFont="1" applyBorder="1" applyAlignment="1">
      <alignment horizontal="center"/>
    </xf>
    <xf numFmtId="169" fontId="5" fillId="0" borderId="2" xfId="1" applyNumberFormat="1" applyFont="1" applyBorder="1" applyAlignment="1">
      <alignment horizontal="center"/>
    </xf>
    <xf numFmtId="169" fontId="9" fillId="0" borderId="2" xfId="1" applyNumberFormat="1" applyFont="1" applyBorder="1" applyAlignment="1">
      <alignment horizontal="center"/>
    </xf>
    <xf numFmtId="169" fontId="8" fillId="0" borderId="2" xfId="1" applyNumberFormat="1" applyFont="1" applyBorder="1" applyAlignment="1">
      <alignment horizontal="center"/>
    </xf>
    <xf numFmtId="169" fontId="0" fillId="0" borderId="0" xfId="1" applyNumberFormat="1" applyFont="1"/>
    <xf numFmtId="169" fontId="0" fillId="0" borderId="0" xfId="1" applyNumberFormat="1" applyFont="1" applyAlignment="1">
      <alignment horizontal="center"/>
    </xf>
    <xf numFmtId="169" fontId="2" fillId="0" borderId="0" xfId="1" applyNumberFormat="1" applyFont="1" applyAlignment="1">
      <alignment horizontal="center"/>
    </xf>
    <xf numFmtId="169" fontId="0" fillId="0" borderId="1" xfId="1" applyNumberFormat="1" applyFont="1" applyBorder="1" applyAlignment="1">
      <alignment horizontal="center"/>
    </xf>
    <xf numFmtId="169" fontId="2" fillId="0" borderId="2" xfId="1" applyNumberFormat="1" applyFont="1" applyBorder="1" applyAlignment="1">
      <alignment horizontal="center"/>
    </xf>
    <xf numFmtId="169" fontId="0" fillId="0" borderId="0" xfId="1" applyNumberFormat="1" applyFont="1" applyFill="1"/>
    <xf numFmtId="169" fontId="0" fillId="0" borderId="0" xfId="1" applyNumberFormat="1" applyFont="1" applyFill="1" applyAlignment="1">
      <alignment horizontal="center"/>
    </xf>
    <xf numFmtId="169" fontId="2" fillId="0" borderId="0" xfId="1" applyNumberFormat="1" applyFont="1" applyBorder="1" applyAlignment="1">
      <alignment horizontal="center"/>
    </xf>
    <xf numFmtId="0" fontId="0" fillId="0" borderId="2" xfId="0" applyFont="1" applyBorder="1"/>
    <xf numFmtId="169" fontId="1" fillId="0" borderId="2" xfId="1" applyNumberFormat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20</xdr:col>
      <xdr:colOff>144780</xdr:colOff>
      <xdr:row>23</xdr:row>
      <xdr:rowOff>45720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198318B-D8D6-9BB9-93E1-294468014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8640"/>
          <a:ext cx="11727180" cy="3703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E9E5B-6802-4F69-B6F0-952B5D211724}">
  <dimension ref="A1:E43"/>
  <sheetViews>
    <sheetView tabSelected="1" workbookViewId="0">
      <selection activeCell="B6" sqref="B6"/>
    </sheetView>
  </sheetViews>
  <sheetFormatPr defaultRowHeight="14.4" x14ac:dyDescent="0.3"/>
  <cols>
    <col min="1" max="1" width="33.5546875" bestFit="1" customWidth="1"/>
    <col min="2" max="2" width="12.77734375" style="20" bestFit="1" customWidth="1"/>
    <col min="3" max="4" width="12.44140625" style="20" customWidth="1"/>
    <col min="5" max="5" width="10.44140625" bestFit="1" customWidth="1"/>
  </cols>
  <sheetData>
    <row r="1" spans="1:5" x14ac:dyDescent="0.3">
      <c r="A1" s="1" t="s">
        <v>48</v>
      </c>
      <c r="B1" s="21"/>
    </row>
    <row r="2" spans="1:5" x14ac:dyDescent="0.3">
      <c r="A2" s="1" t="s">
        <v>43</v>
      </c>
      <c r="B2" s="21" t="s">
        <v>2</v>
      </c>
      <c r="C2" s="21" t="s">
        <v>3</v>
      </c>
      <c r="D2" s="21" t="s">
        <v>46</v>
      </c>
    </row>
    <row r="3" spans="1:5" x14ac:dyDescent="0.3">
      <c r="A3" s="1"/>
      <c r="B3" s="22" t="s">
        <v>44</v>
      </c>
      <c r="C3" s="22" t="s">
        <v>44</v>
      </c>
      <c r="D3" s="22"/>
    </row>
    <row r="4" spans="1:5" x14ac:dyDescent="0.3">
      <c r="A4" s="1"/>
      <c r="B4" s="22" t="s">
        <v>4</v>
      </c>
      <c r="C4" s="22" t="s">
        <v>4</v>
      </c>
      <c r="D4" s="22"/>
    </row>
    <row r="5" spans="1:5" x14ac:dyDescent="0.3">
      <c r="A5" s="2" t="s">
        <v>5</v>
      </c>
      <c r="B5" s="21"/>
    </row>
    <row r="6" spans="1:5" x14ac:dyDescent="0.3">
      <c r="A6" t="s">
        <v>6</v>
      </c>
      <c r="B6" s="21">
        <f>205+'Budgeted Cashflow Detail'!B6+'Budgeted Cashflow Detail'!C6</f>
        <v>305</v>
      </c>
      <c r="C6" s="20">
        <f>205+100</f>
        <v>305</v>
      </c>
      <c r="D6" s="20">
        <f>C6-B6</f>
        <v>0</v>
      </c>
    </row>
    <row r="7" spans="1:5" x14ac:dyDescent="0.3">
      <c r="A7" t="s">
        <v>7</v>
      </c>
      <c r="B7" s="26">
        <f>1150</f>
        <v>1150</v>
      </c>
      <c r="C7" s="25">
        <f>1150</f>
        <v>1150</v>
      </c>
      <c r="D7" s="20">
        <f t="shared" ref="D7:D11" si="0">C7-B7</f>
        <v>0</v>
      </c>
    </row>
    <row r="8" spans="1:5" x14ac:dyDescent="0.3">
      <c r="A8" t="s">
        <v>8</v>
      </c>
      <c r="B8" s="26">
        <f>17.14+'Budgeted Cashflow Detail'!B8+'Budgeted Cashflow Detail'!C8</f>
        <v>27.14</v>
      </c>
      <c r="C8" s="25">
        <f>17.14+4.72</f>
        <v>21.86</v>
      </c>
      <c r="D8" s="20">
        <f t="shared" si="0"/>
        <v>-5.2800000000000011</v>
      </c>
    </row>
    <row r="9" spans="1:5" x14ac:dyDescent="0.3">
      <c r="A9" t="s">
        <v>9</v>
      </c>
      <c r="B9" s="26">
        <f>117.27+'Budgeted Cashflow Detail'!B9+'Budgeted Cashflow Detail'!C9</f>
        <v>267.27</v>
      </c>
      <c r="C9" s="25">
        <f>117.27+176.79</f>
        <v>294.06</v>
      </c>
      <c r="D9" s="20">
        <f t="shared" si="0"/>
        <v>26.79000000000002</v>
      </c>
    </row>
    <row r="10" spans="1:5" x14ac:dyDescent="0.3">
      <c r="A10" t="s">
        <v>10</v>
      </c>
      <c r="B10" s="26">
        <f>9050</f>
        <v>9050</v>
      </c>
      <c r="C10" s="25">
        <f>9050</f>
        <v>9050</v>
      </c>
      <c r="D10" s="20">
        <f t="shared" si="0"/>
        <v>0</v>
      </c>
    </row>
    <row r="11" spans="1:5" x14ac:dyDescent="0.3">
      <c r="A11" t="s">
        <v>11</v>
      </c>
      <c r="B11" s="26">
        <f>168294.79+'Budgeted Cashflow Detail'!B11+'Budgeted Cashflow Detail'!C11</f>
        <v>189207.29</v>
      </c>
      <c r="C11" s="25">
        <f>168294.79+15600.61</f>
        <v>183895.40000000002</v>
      </c>
      <c r="D11" s="20">
        <f t="shared" si="0"/>
        <v>-5311.8899999999849</v>
      </c>
      <c r="E11" t="s">
        <v>45</v>
      </c>
    </row>
    <row r="12" spans="1:5" x14ac:dyDescent="0.3">
      <c r="A12" s="3" t="s">
        <v>12</v>
      </c>
      <c r="B12" s="23">
        <f>SUM(B6:B11)</f>
        <v>200006.7</v>
      </c>
      <c r="C12" s="23">
        <f>SUM(C6:C11)</f>
        <v>194716.32000000004</v>
      </c>
      <c r="D12" s="23">
        <f>SUM(D6:D11)</f>
        <v>-5290.3799999999846</v>
      </c>
    </row>
    <row r="13" spans="1:5" x14ac:dyDescent="0.3">
      <c r="B13" s="21"/>
    </row>
    <row r="14" spans="1:5" x14ac:dyDescent="0.3">
      <c r="A14" s="2" t="s">
        <v>13</v>
      </c>
      <c r="B14" s="21"/>
    </row>
    <row r="15" spans="1:5" x14ac:dyDescent="0.3">
      <c r="A15" t="s">
        <v>14</v>
      </c>
      <c r="B15" s="26">
        <f>8362+'Budgeted Cashflow Detail'!B15+'Budgeted Cashflow Detail'!C15</f>
        <v>14462</v>
      </c>
      <c r="C15" s="25">
        <f>8362.23+6039.23</f>
        <v>14401.46</v>
      </c>
      <c r="D15" s="25">
        <f>B15-C15</f>
        <v>60.540000000000873</v>
      </c>
    </row>
    <row r="16" spans="1:5" x14ac:dyDescent="0.3">
      <c r="A16" t="s">
        <v>15</v>
      </c>
      <c r="B16" s="26">
        <f>283.7+'Budgeted Cashflow Detail'!B16+'Budgeted Cashflow Detail'!C16</f>
        <v>423.7</v>
      </c>
      <c r="C16" s="25">
        <f>283.7+162.91</f>
        <v>446.61</v>
      </c>
      <c r="D16" s="25">
        <f>B16-C16</f>
        <v>-22.910000000000025</v>
      </c>
    </row>
    <row r="17" spans="1:5" x14ac:dyDescent="0.3">
      <c r="A17" s="3" t="s">
        <v>16</v>
      </c>
      <c r="B17" s="23">
        <f>SUM(B15:B16)</f>
        <v>14885.7</v>
      </c>
      <c r="C17" s="23">
        <f>SUM(C15:C16)</f>
        <v>14848.07</v>
      </c>
      <c r="D17" s="23">
        <f>SUM(D15:D16)</f>
        <v>37.630000000000848</v>
      </c>
    </row>
    <row r="18" spans="1:5" x14ac:dyDescent="0.3">
      <c r="B18" s="21"/>
    </row>
    <row r="19" spans="1:5" x14ac:dyDescent="0.3">
      <c r="B19" s="21"/>
    </row>
    <row r="20" spans="1:5" x14ac:dyDescent="0.3">
      <c r="A20" s="2" t="s">
        <v>17</v>
      </c>
      <c r="B20" s="21"/>
    </row>
    <row r="21" spans="1:5" x14ac:dyDescent="0.3">
      <c r="A21" t="s">
        <v>18</v>
      </c>
      <c r="B21" s="26">
        <f>12227+'Budgeted Cashflow Detail'!B21+'Budgeted Cashflow Detail'!C21</f>
        <v>28025.660000000003</v>
      </c>
      <c r="C21" s="25">
        <f>12227+283</f>
        <v>12510</v>
      </c>
      <c r="D21" s="25">
        <f t="shared" ref="D21:D37" si="1">B21-C21</f>
        <v>15515.660000000003</v>
      </c>
      <c r="E21" t="s">
        <v>47</v>
      </c>
    </row>
    <row r="22" spans="1:5" x14ac:dyDescent="0.3">
      <c r="A22" t="s">
        <v>19</v>
      </c>
      <c r="B22" s="26">
        <f>1441.19+'Budgeted Cashflow Detail'!B22+'Budgeted Cashflow Detail'!C22</f>
        <v>2441.19</v>
      </c>
      <c r="C22" s="25">
        <f>1441.19+615.63</f>
        <v>2056.8200000000002</v>
      </c>
      <c r="D22" s="25">
        <f t="shared" si="1"/>
        <v>384.36999999999989</v>
      </c>
      <c r="E22" s="5"/>
    </row>
    <row r="23" spans="1:5" x14ac:dyDescent="0.3">
      <c r="A23" t="s">
        <v>20</v>
      </c>
      <c r="B23" s="26">
        <f>65633.4+'Budgeted Cashflow Detail'!B23+'Budgeted Cashflow Detail'!C23</f>
        <v>72858.399999999994</v>
      </c>
      <c r="C23" s="25">
        <f>65633.4+7252.5</f>
        <v>72885.899999999994</v>
      </c>
      <c r="D23" s="25">
        <f t="shared" si="1"/>
        <v>-27.5</v>
      </c>
      <c r="E23" s="5"/>
    </row>
    <row r="24" spans="1:5" x14ac:dyDescent="0.3">
      <c r="A24" t="s">
        <v>21</v>
      </c>
      <c r="B24" s="26">
        <f>'Budgeted Cashflow Detail'!B24+'Budgeted Cashflow Detail'!C24</f>
        <v>1500</v>
      </c>
      <c r="C24" s="25">
        <v>1200</v>
      </c>
      <c r="D24" s="25">
        <f t="shared" si="1"/>
        <v>300</v>
      </c>
      <c r="E24" s="5"/>
    </row>
    <row r="25" spans="1:5" x14ac:dyDescent="0.3">
      <c r="A25" t="s">
        <v>22</v>
      </c>
      <c r="B25" s="26">
        <f>500+'Budgeted Cashflow Detail'!B25+'Budgeted Cashflow Detail'!C25</f>
        <v>500</v>
      </c>
      <c r="C25" s="25">
        <f>500</f>
        <v>500</v>
      </c>
      <c r="D25" s="25">
        <f t="shared" si="1"/>
        <v>0</v>
      </c>
      <c r="E25" s="5"/>
    </row>
    <row r="26" spans="1:5" x14ac:dyDescent="0.3">
      <c r="A26" t="s">
        <v>23</v>
      </c>
      <c r="B26" s="26">
        <f>1480+'Budgeted Cashflow Detail'!B26+'Budgeted Cashflow Detail'!C26</f>
        <v>2980</v>
      </c>
      <c r="C26" s="25">
        <f>1480</f>
        <v>1480</v>
      </c>
      <c r="D26" s="25">
        <f t="shared" si="1"/>
        <v>1500</v>
      </c>
      <c r="E26" s="5"/>
    </row>
    <row r="27" spans="1:5" x14ac:dyDescent="0.3">
      <c r="A27" t="s">
        <v>24</v>
      </c>
      <c r="B27" s="26">
        <f>26.95+'Budgeted Cashflow Detail'!B27+'Budgeted Cashflow Detail'!C27</f>
        <v>46.95</v>
      </c>
      <c r="C27" s="25">
        <f>26.95+26.95</f>
        <v>53.9</v>
      </c>
      <c r="D27" s="25">
        <f t="shared" si="1"/>
        <v>-6.9499999999999957</v>
      </c>
      <c r="E27" s="5"/>
    </row>
    <row r="28" spans="1:5" x14ac:dyDescent="0.3">
      <c r="A28" t="s">
        <v>25</v>
      </c>
      <c r="B28" s="26">
        <f>4.65+'Budgeted Cashflow Detail'!B28+'Budgeted Cashflow Detail'!C28</f>
        <v>44.65</v>
      </c>
      <c r="C28" s="25">
        <f>4.65</f>
        <v>4.6500000000000004</v>
      </c>
      <c r="D28" s="25">
        <f t="shared" si="1"/>
        <v>40</v>
      </c>
      <c r="E28" s="5"/>
    </row>
    <row r="29" spans="1:5" x14ac:dyDescent="0.3">
      <c r="A29" t="s">
        <v>26</v>
      </c>
      <c r="B29" s="26">
        <f>2521.45+'Budgeted Cashflow Detail'!B29+'Budgeted Cashflow Detail'!C29</f>
        <v>2521.4499999999998</v>
      </c>
      <c r="C29" s="25">
        <f>2521.45</f>
        <v>2521.4499999999998</v>
      </c>
      <c r="D29" s="25">
        <f t="shared" si="1"/>
        <v>0</v>
      </c>
      <c r="E29" s="5"/>
    </row>
    <row r="30" spans="1:5" x14ac:dyDescent="0.3">
      <c r="A30" t="s">
        <v>27</v>
      </c>
      <c r="B30" s="26">
        <f>461.22+'Budgeted Cashflow Detail'!B30+'Budgeted Cashflow Detail'!C30</f>
        <v>555.22</v>
      </c>
      <c r="C30" s="25">
        <f>461.22+134.08</f>
        <v>595.30000000000007</v>
      </c>
      <c r="D30" s="25">
        <f t="shared" si="1"/>
        <v>-40.080000000000041</v>
      </c>
      <c r="E30" s="5"/>
    </row>
    <row r="31" spans="1:5" x14ac:dyDescent="0.3">
      <c r="A31" t="s">
        <v>28</v>
      </c>
      <c r="B31" s="26">
        <f>52133.75+'Budgeted Cashflow Detail'!B31+'Budgeted Cashflow Detail'!C31</f>
        <v>95141.790000000008</v>
      </c>
      <c r="C31" s="25">
        <f>52133.75+170.4+20880</f>
        <v>73184.149999999994</v>
      </c>
      <c r="D31" s="25">
        <f t="shared" si="1"/>
        <v>21957.640000000014</v>
      </c>
      <c r="E31" s="5" t="s">
        <v>49</v>
      </c>
    </row>
    <row r="32" spans="1:5" x14ac:dyDescent="0.3">
      <c r="A32" t="s">
        <v>29</v>
      </c>
      <c r="B32" s="26">
        <f>60+'Budgeted Cashflow Detail'!B32+'Budgeted Cashflow Detail'!C32</f>
        <v>100</v>
      </c>
      <c r="C32" s="25">
        <f>60+1250</f>
        <v>1310</v>
      </c>
      <c r="D32" s="25">
        <f t="shared" si="1"/>
        <v>-1210</v>
      </c>
      <c r="E32" s="5"/>
    </row>
    <row r="33" spans="1:5" x14ac:dyDescent="0.3">
      <c r="A33" t="s">
        <v>30</v>
      </c>
      <c r="B33" s="26">
        <f>2486.05+'Budgeted Cashflow Detail'!B33+'Budgeted Cashflow Detail'!C33</f>
        <v>2486.0500000000002</v>
      </c>
      <c r="C33" s="25">
        <f>2486.05</f>
        <v>2486.0500000000002</v>
      </c>
      <c r="D33" s="25">
        <f t="shared" si="1"/>
        <v>0</v>
      </c>
      <c r="E33" s="5"/>
    </row>
    <row r="34" spans="1:5" x14ac:dyDescent="0.3">
      <c r="A34" t="s">
        <v>31</v>
      </c>
      <c r="B34" s="26">
        <f>137+'Budgeted Cashflow Detail'!B34+'Budgeted Cashflow Detail'!C34</f>
        <v>257</v>
      </c>
      <c r="C34" s="25">
        <f>137+15</f>
        <v>152</v>
      </c>
      <c r="D34" s="25">
        <f t="shared" si="1"/>
        <v>105</v>
      </c>
      <c r="E34" s="5"/>
    </row>
    <row r="35" spans="1:5" x14ac:dyDescent="0.3">
      <c r="A35" t="s">
        <v>32</v>
      </c>
      <c r="B35" s="26">
        <f>253.51+'Budgeted Cashflow Detail'!B35+'Budgeted Cashflow Detail'!C35</f>
        <v>429.51</v>
      </c>
      <c r="C35" s="25">
        <f>253.51+178.28</f>
        <v>431.78999999999996</v>
      </c>
      <c r="D35" s="25">
        <f t="shared" si="1"/>
        <v>-2.2799999999999727</v>
      </c>
      <c r="E35" s="5"/>
    </row>
    <row r="36" spans="1:5" x14ac:dyDescent="0.3">
      <c r="A36" t="s">
        <v>33</v>
      </c>
      <c r="B36" s="26">
        <f>849.6+'Budgeted Cashflow Detail'!B36+'Budgeted Cashflow Detail'!C36</f>
        <v>849.6</v>
      </c>
      <c r="C36" s="25">
        <f>849.6+496.4</f>
        <v>1346</v>
      </c>
      <c r="D36" s="25">
        <f t="shared" si="1"/>
        <v>-496.4</v>
      </c>
      <c r="E36" s="5"/>
    </row>
    <row r="37" spans="1:5" x14ac:dyDescent="0.3">
      <c r="A37" t="s">
        <v>34</v>
      </c>
      <c r="B37" s="26">
        <f>7342.17+'Budgeted Cashflow Detail'!B37+'Budgeted Cashflow Detail'!C37</f>
        <v>7368.17</v>
      </c>
      <c r="C37" s="25">
        <f>7342.17+2083.98</f>
        <v>9426.15</v>
      </c>
      <c r="D37" s="25">
        <f t="shared" si="1"/>
        <v>-2057.9799999999996</v>
      </c>
      <c r="E37" s="5"/>
    </row>
    <row r="38" spans="1:5" x14ac:dyDescent="0.3">
      <c r="A38" s="3" t="s">
        <v>35</v>
      </c>
      <c r="B38" s="23">
        <f t="shared" ref="B38:D38" si="2">SUM(B21:B37)</f>
        <v>218105.64</v>
      </c>
      <c r="C38" s="23">
        <f t="shared" si="2"/>
        <v>182144.15999999997</v>
      </c>
      <c r="D38" s="23">
        <f t="shared" si="2"/>
        <v>35961.48000000001</v>
      </c>
      <c r="E38" s="6"/>
    </row>
    <row r="39" spans="1:5" x14ac:dyDescent="0.3">
      <c r="B39" s="21"/>
      <c r="C39" s="21"/>
      <c r="D39" s="21"/>
    </row>
    <row r="40" spans="1:5" ht="15" thickBot="1" x14ac:dyDescent="0.35">
      <c r="A40" s="4" t="s">
        <v>36</v>
      </c>
      <c r="B40" s="24">
        <f t="shared" ref="B40:D40" si="3">B12-B17-B38</f>
        <v>-32984.640000000014</v>
      </c>
      <c r="C40" s="24">
        <f t="shared" si="3"/>
        <v>-2275.9099999999453</v>
      </c>
      <c r="D40" s="24"/>
    </row>
    <row r="41" spans="1:5" x14ac:dyDescent="0.3">
      <c r="B41" s="21"/>
      <c r="C41" s="21"/>
      <c r="D41" s="21"/>
    </row>
    <row r="42" spans="1:5" x14ac:dyDescent="0.3">
      <c r="B42" s="21"/>
      <c r="C42" s="21"/>
      <c r="D42" s="21"/>
    </row>
    <row r="43" spans="1:5" ht="15" thickBot="1" x14ac:dyDescent="0.35">
      <c r="A43" s="28" t="s">
        <v>39</v>
      </c>
      <c r="B43" s="29">
        <v>16593</v>
      </c>
      <c r="C43" s="29">
        <v>30571.88</v>
      </c>
      <c r="D43" s="2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0A8BF-A70B-445F-9F65-CECE9379D70C}">
  <dimension ref="A1"/>
  <sheetViews>
    <sheetView workbookViewId="0">
      <selection activeCell="I26" sqref="I26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FEEFC-2866-43E7-87A9-193863E769E0}">
  <dimension ref="A1:W47"/>
  <sheetViews>
    <sheetView workbookViewId="0">
      <selection activeCell="T40" sqref="T40"/>
    </sheetView>
  </sheetViews>
  <sheetFormatPr defaultRowHeight="14.4" x14ac:dyDescent="0.3"/>
  <cols>
    <col min="1" max="1" width="33.21875" bestFit="1" customWidth="1"/>
    <col min="2" max="4" width="10.44140625" bestFit="1" customWidth="1"/>
    <col min="5" max="5" width="10.33203125" bestFit="1" customWidth="1"/>
    <col min="6" max="12" width="10.44140625" bestFit="1" customWidth="1"/>
    <col min="13" max="19" width="11.33203125" bestFit="1" customWidth="1"/>
    <col min="20" max="20" width="12.88671875" bestFit="1" customWidth="1"/>
  </cols>
  <sheetData>
    <row r="1" spans="1:23" x14ac:dyDescent="0.3">
      <c r="A1" s="7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8"/>
      <c r="W1" s="8"/>
    </row>
    <row r="2" spans="1:23" x14ac:dyDescent="0.3">
      <c r="A2" s="7" t="s">
        <v>1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  <c r="J2" s="9" t="s">
        <v>2</v>
      </c>
      <c r="K2" s="9" t="s">
        <v>2</v>
      </c>
      <c r="L2" s="9" t="s">
        <v>2</v>
      </c>
      <c r="M2" s="9" t="s">
        <v>2</v>
      </c>
      <c r="N2" s="9" t="s">
        <v>2</v>
      </c>
      <c r="O2" s="9" t="s">
        <v>2</v>
      </c>
      <c r="P2" s="9" t="s">
        <v>2</v>
      </c>
      <c r="Q2" s="9" t="s">
        <v>2</v>
      </c>
      <c r="R2" s="9" t="s">
        <v>2</v>
      </c>
      <c r="S2" s="9" t="s">
        <v>2</v>
      </c>
      <c r="T2" s="9"/>
      <c r="U2" s="9"/>
      <c r="V2" s="8"/>
      <c r="W2" s="8"/>
    </row>
    <row r="3" spans="1:23" x14ac:dyDescent="0.3">
      <c r="A3" s="7"/>
      <c r="B3" s="10">
        <v>46113</v>
      </c>
      <c r="C3" s="10">
        <v>46143</v>
      </c>
      <c r="D3" s="10">
        <v>46174</v>
      </c>
      <c r="E3" s="10">
        <v>46204</v>
      </c>
      <c r="F3" s="10">
        <v>46235</v>
      </c>
      <c r="G3" s="10">
        <v>46266</v>
      </c>
      <c r="H3" s="10">
        <v>46296</v>
      </c>
      <c r="I3" s="10">
        <v>46327</v>
      </c>
      <c r="J3" s="10">
        <v>46357</v>
      </c>
      <c r="K3" s="10">
        <v>46388</v>
      </c>
      <c r="L3" s="10">
        <v>46419</v>
      </c>
      <c r="M3" s="10">
        <v>46447</v>
      </c>
      <c r="N3" s="10">
        <v>46478</v>
      </c>
      <c r="O3" s="10">
        <v>46508</v>
      </c>
      <c r="P3" s="10">
        <v>46539</v>
      </c>
      <c r="Q3" s="10">
        <v>46569</v>
      </c>
      <c r="R3" s="10">
        <v>46600</v>
      </c>
      <c r="S3" s="10">
        <v>46631</v>
      </c>
      <c r="T3" s="11" t="s">
        <v>40</v>
      </c>
      <c r="U3" s="11"/>
      <c r="V3" s="7"/>
      <c r="W3" s="7"/>
    </row>
    <row r="4" spans="1:23" x14ac:dyDescent="0.3">
      <c r="A4" s="7"/>
      <c r="B4" s="11" t="s">
        <v>4</v>
      </c>
      <c r="C4" s="11" t="s">
        <v>4</v>
      </c>
      <c r="D4" s="11" t="s">
        <v>4</v>
      </c>
      <c r="E4" s="11" t="s">
        <v>4</v>
      </c>
      <c r="F4" s="11" t="s">
        <v>4</v>
      </c>
      <c r="G4" s="11" t="s">
        <v>4</v>
      </c>
      <c r="H4" s="11" t="s">
        <v>4</v>
      </c>
      <c r="I4" s="11" t="s">
        <v>4</v>
      </c>
      <c r="J4" s="11" t="s">
        <v>4</v>
      </c>
      <c r="K4" s="11" t="s">
        <v>4</v>
      </c>
      <c r="L4" s="11" t="s">
        <v>4</v>
      </c>
      <c r="M4" s="11" t="s">
        <v>4</v>
      </c>
      <c r="N4" s="11" t="s">
        <v>4</v>
      </c>
      <c r="O4" s="11" t="s">
        <v>4</v>
      </c>
      <c r="P4" s="11" t="s">
        <v>4</v>
      </c>
      <c r="Q4" s="11" t="s">
        <v>4</v>
      </c>
      <c r="R4" s="11" t="s">
        <v>4</v>
      </c>
      <c r="S4" s="11" t="s">
        <v>4</v>
      </c>
      <c r="T4" s="11" t="s">
        <v>4</v>
      </c>
      <c r="U4" s="11"/>
      <c r="V4" s="7"/>
      <c r="W4" s="7"/>
    </row>
    <row r="5" spans="1:23" x14ac:dyDescent="0.3">
      <c r="A5" s="12" t="s">
        <v>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8"/>
      <c r="W5" s="8"/>
    </row>
    <row r="6" spans="1:23" x14ac:dyDescent="0.3">
      <c r="A6" s="8" t="s">
        <v>6</v>
      </c>
      <c r="B6" s="15">
        <v>50</v>
      </c>
      <c r="C6" s="15">
        <v>50</v>
      </c>
      <c r="D6" s="15">
        <v>105</v>
      </c>
      <c r="E6" s="15">
        <v>50</v>
      </c>
      <c r="F6" s="15">
        <v>50</v>
      </c>
      <c r="G6" s="15">
        <v>105</v>
      </c>
      <c r="H6" s="15">
        <v>50</v>
      </c>
      <c r="I6" s="15">
        <v>50</v>
      </c>
      <c r="J6" s="15">
        <v>105</v>
      </c>
      <c r="K6" s="15">
        <v>50</v>
      </c>
      <c r="L6" s="15">
        <v>50</v>
      </c>
      <c r="M6" s="15">
        <v>105</v>
      </c>
      <c r="N6" s="15">
        <v>50</v>
      </c>
      <c r="O6" s="15">
        <v>50</v>
      </c>
      <c r="P6" s="15">
        <v>105</v>
      </c>
      <c r="Q6" s="15">
        <v>50</v>
      </c>
      <c r="R6" s="15">
        <v>50</v>
      </c>
      <c r="S6" s="15">
        <v>105</v>
      </c>
      <c r="T6" s="15">
        <v>1230</v>
      </c>
      <c r="U6" s="9"/>
      <c r="V6" s="8"/>
      <c r="W6" s="8"/>
    </row>
    <row r="7" spans="1:23" x14ac:dyDescent="0.3">
      <c r="A7" s="8" t="s">
        <v>7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9"/>
      <c r="V7" s="8"/>
      <c r="W7" s="8"/>
    </row>
    <row r="8" spans="1:23" x14ac:dyDescent="0.3">
      <c r="A8" s="8" t="s">
        <v>8</v>
      </c>
      <c r="B8" s="15">
        <v>5</v>
      </c>
      <c r="C8" s="15">
        <v>5</v>
      </c>
      <c r="D8" s="15">
        <v>5</v>
      </c>
      <c r="E8" s="15">
        <v>5</v>
      </c>
      <c r="F8" s="15">
        <v>5</v>
      </c>
      <c r="G8" s="15">
        <v>5</v>
      </c>
      <c r="H8" s="15">
        <v>5</v>
      </c>
      <c r="I8" s="15">
        <v>5</v>
      </c>
      <c r="J8" s="15">
        <v>5</v>
      </c>
      <c r="K8" s="15">
        <v>5</v>
      </c>
      <c r="L8" s="15">
        <v>5</v>
      </c>
      <c r="M8" s="15">
        <v>5</v>
      </c>
      <c r="N8" s="15">
        <v>5</v>
      </c>
      <c r="O8" s="15">
        <v>5</v>
      </c>
      <c r="P8" s="15">
        <v>5</v>
      </c>
      <c r="Q8" s="15">
        <v>5</v>
      </c>
      <c r="R8" s="15">
        <v>5</v>
      </c>
      <c r="S8" s="15">
        <v>5</v>
      </c>
      <c r="T8" s="15">
        <v>90</v>
      </c>
      <c r="U8" s="9"/>
      <c r="V8" s="8"/>
      <c r="W8" s="8"/>
    </row>
    <row r="9" spans="1:23" x14ac:dyDescent="0.3">
      <c r="A9" s="8" t="s">
        <v>9</v>
      </c>
      <c r="B9" s="15">
        <v>150</v>
      </c>
      <c r="C9" s="15">
        <v>0</v>
      </c>
      <c r="D9" s="15">
        <v>0</v>
      </c>
      <c r="E9" s="15">
        <v>150</v>
      </c>
      <c r="F9" s="15" t="s">
        <v>41</v>
      </c>
      <c r="G9" s="15" t="s">
        <v>41</v>
      </c>
      <c r="H9" s="15">
        <v>150</v>
      </c>
      <c r="I9" s="15" t="s">
        <v>41</v>
      </c>
      <c r="J9" s="15" t="s">
        <v>41</v>
      </c>
      <c r="K9" s="15">
        <v>150</v>
      </c>
      <c r="L9" s="15" t="s">
        <v>41</v>
      </c>
      <c r="M9" s="15" t="s">
        <v>41</v>
      </c>
      <c r="N9" s="15">
        <v>150</v>
      </c>
      <c r="O9" s="15" t="s">
        <v>41</v>
      </c>
      <c r="P9" s="15" t="s">
        <v>41</v>
      </c>
      <c r="Q9" s="15">
        <v>150</v>
      </c>
      <c r="R9" s="15" t="s">
        <v>41</v>
      </c>
      <c r="S9" s="15" t="s">
        <v>41</v>
      </c>
      <c r="T9" s="15">
        <v>900</v>
      </c>
      <c r="U9" s="9"/>
      <c r="V9" s="8"/>
      <c r="W9" s="8"/>
    </row>
    <row r="10" spans="1:23" x14ac:dyDescent="0.3">
      <c r="A10" s="8" t="s">
        <v>10</v>
      </c>
      <c r="B10" s="15">
        <v>0</v>
      </c>
      <c r="C10" s="15">
        <v>0</v>
      </c>
      <c r="D10" s="15">
        <v>0</v>
      </c>
      <c r="E10" s="15" t="s">
        <v>41</v>
      </c>
      <c r="F10" s="15" t="s">
        <v>41</v>
      </c>
      <c r="G10" s="15" t="s">
        <v>41</v>
      </c>
      <c r="H10" s="15" t="s">
        <v>41</v>
      </c>
      <c r="I10" s="15" t="s">
        <v>41</v>
      </c>
      <c r="J10" s="15" t="s">
        <v>41</v>
      </c>
      <c r="K10" s="15" t="s">
        <v>41</v>
      </c>
      <c r="L10" s="15" t="s">
        <v>41</v>
      </c>
      <c r="M10" s="15">
        <v>421666.67</v>
      </c>
      <c r="N10" s="15">
        <v>416666.67</v>
      </c>
      <c r="O10" s="15">
        <v>416666.67</v>
      </c>
      <c r="P10" s="15">
        <v>416666.67</v>
      </c>
      <c r="Q10" s="15">
        <v>416666.67</v>
      </c>
      <c r="R10" s="15">
        <v>416666.67</v>
      </c>
      <c r="S10" s="15">
        <v>416666.67</v>
      </c>
      <c r="T10" s="15">
        <v>2921666.67</v>
      </c>
      <c r="U10" s="9"/>
      <c r="V10" s="8"/>
      <c r="W10" s="8"/>
    </row>
    <row r="11" spans="1:23" x14ac:dyDescent="0.3">
      <c r="A11" s="8" t="s">
        <v>11</v>
      </c>
      <c r="B11" s="15">
        <v>20912.5</v>
      </c>
      <c r="C11" s="15">
        <v>0</v>
      </c>
      <c r="D11" s="15">
        <v>41073</v>
      </c>
      <c r="E11" s="15">
        <v>32275</v>
      </c>
      <c r="F11" s="15">
        <v>29950.57</v>
      </c>
      <c r="G11" s="15">
        <v>23539</v>
      </c>
      <c r="H11" s="15">
        <v>29710</v>
      </c>
      <c r="I11" s="15" t="s">
        <v>41</v>
      </c>
      <c r="J11" s="15" t="s">
        <v>41</v>
      </c>
      <c r="K11" s="15">
        <v>27710</v>
      </c>
      <c r="L11" s="15" t="s">
        <v>41</v>
      </c>
      <c r="M11" s="15" t="s">
        <v>41</v>
      </c>
      <c r="N11" s="15">
        <v>46405</v>
      </c>
      <c r="O11" s="15" t="s">
        <v>41</v>
      </c>
      <c r="P11" s="15" t="s">
        <v>41</v>
      </c>
      <c r="Q11" s="15">
        <v>32960</v>
      </c>
      <c r="R11" s="15" t="s">
        <v>41</v>
      </c>
      <c r="S11" s="15">
        <v>18808</v>
      </c>
      <c r="T11" s="15">
        <v>303343.07</v>
      </c>
      <c r="U11" s="9"/>
      <c r="V11" s="8"/>
      <c r="W11" s="8"/>
    </row>
    <row r="12" spans="1:23" x14ac:dyDescent="0.3">
      <c r="A12" s="13" t="s">
        <v>12</v>
      </c>
      <c r="B12" s="16">
        <v>21117.5</v>
      </c>
      <c r="C12" s="16">
        <v>55</v>
      </c>
      <c r="D12" s="16">
        <v>41183</v>
      </c>
      <c r="E12" s="16">
        <v>32480</v>
      </c>
      <c r="F12" s="16">
        <v>30005.57</v>
      </c>
      <c r="G12" s="16">
        <v>23649</v>
      </c>
      <c r="H12" s="16">
        <v>29915</v>
      </c>
      <c r="I12" s="16">
        <v>55</v>
      </c>
      <c r="J12" s="16">
        <v>110</v>
      </c>
      <c r="K12" s="16">
        <v>27915</v>
      </c>
      <c r="L12" s="16">
        <v>55</v>
      </c>
      <c r="M12" s="16">
        <v>421776.67</v>
      </c>
      <c r="N12" s="16">
        <v>463276.67</v>
      </c>
      <c r="O12" s="16">
        <v>416721.67</v>
      </c>
      <c r="P12" s="16">
        <v>416776.67</v>
      </c>
      <c r="Q12" s="16">
        <v>449831.67</v>
      </c>
      <c r="R12" s="16">
        <v>416721.67</v>
      </c>
      <c r="S12" s="16">
        <v>435584.67</v>
      </c>
      <c r="T12" s="16">
        <v>3227229.74</v>
      </c>
      <c r="U12" s="9"/>
      <c r="V12" s="8"/>
      <c r="W12" s="8"/>
    </row>
    <row r="13" spans="1:23" x14ac:dyDescent="0.3">
      <c r="A13" s="8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9"/>
      <c r="V13" s="8"/>
      <c r="W13" s="8"/>
    </row>
    <row r="14" spans="1:23" x14ac:dyDescent="0.3">
      <c r="A14" s="12" t="s"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9"/>
      <c r="V14" s="8"/>
      <c r="W14" s="8"/>
    </row>
    <row r="15" spans="1:23" x14ac:dyDescent="0.3">
      <c r="A15" s="8" t="s">
        <v>14</v>
      </c>
      <c r="B15" s="15">
        <v>3050</v>
      </c>
      <c r="C15" s="15">
        <v>3050</v>
      </c>
      <c r="D15" s="15">
        <v>3050</v>
      </c>
      <c r="E15" s="15">
        <v>3050</v>
      </c>
      <c r="F15" s="15">
        <v>3050</v>
      </c>
      <c r="G15" s="15">
        <v>3050</v>
      </c>
      <c r="H15" s="15">
        <v>3050</v>
      </c>
      <c r="I15" s="15">
        <v>3050</v>
      </c>
      <c r="J15" s="15">
        <v>3050</v>
      </c>
      <c r="K15" s="15">
        <v>3050</v>
      </c>
      <c r="L15" s="15">
        <v>3050</v>
      </c>
      <c r="M15" s="15">
        <v>3050</v>
      </c>
      <c r="N15" s="15">
        <v>3050</v>
      </c>
      <c r="O15" s="15">
        <v>3050</v>
      </c>
      <c r="P15" s="15">
        <v>3050</v>
      </c>
      <c r="Q15" s="15">
        <v>3050</v>
      </c>
      <c r="R15" s="15">
        <v>3050</v>
      </c>
      <c r="S15" s="15">
        <v>3050</v>
      </c>
      <c r="T15" s="15">
        <v>54900</v>
      </c>
      <c r="U15" s="9"/>
      <c r="V15" s="8"/>
      <c r="W15" s="8"/>
    </row>
    <row r="16" spans="1:23" x14ac:dyDescent="0.3">
      <c r="A16" s="8" t="s">
        <v>15</v>
      </c>
      <c r="B16" s="15">
        <v>70</v>
      </c>
      <c r="C16" s="15">
        <v>70</v>
      </c>
      <c r="D16" s="15">
        <v>70</v>
      </c>
      <c r="E16" s="15">
        <v>70</v>
      </c>
      <c r="F16" s="15">
        <v>70</v>
      </c>
      <c r="G16" s="15">
        <v>70</v>
      </c>
      <c r="H16" s="15">
        <v>70</v>
      </c>
      <c r="I16" s="15">
        <v>70</v>
      </c>
      <c r="J16" s="15">
        <v>70</v>
      </c>
      <c r="K16" s="15">
        <v>70</v>
      </c>
      <c r="L16" s="15">
        <v>70</v>
      </c>
      <c r="M16" s="15">
        <v>70</v>
      </c>
      <c r="N16" s="15">
        <v>70</v>
      </c>
      <c r="O16" s="15">
        <v>70</v>
      </c>
      <c r="P16" s="15">
        <v>70</v>
      </c>
      <c r="Q16" s="15">
        <v>70</v>
      </c>
      <c r="R16" s="15">
        <v>70</v>
      </c>
      <c r="S16" s="15">
        <v>70</v>
      </c>
      <c r="T16" s="15">
        <v>1260</v>
      </c>
      <c r="U16" s="9"/>
      <c r="V16" s="8"/>
      <c r="W16" s="8"/>
    </row>
    <row r="17" spans="1:23" x14ac:dyDescent="0.3">
      <c r="A17" s="13" t="s">
        <v>16</v>
      </c>
      <c r="B17" s="16">
        <v>3120</v>
      </c>
      <c r="C17" s="16">
        <v>3120</v>
      </c>
      <c r="D17" s="16">
        <v>3120</v>
      </c>
      <c r="E17" s="16">
        <v>3120</v>
      </c>
      <c r="F17" s="16">
        <v>3120</v>
      </c>
      <c r="G17" s="16">
        <v>3120</v>
      </c>
      <c r="H17" s="16">
        <v>3120</v>
      </c>
      <c r="I17" s="16">
        <v>3120</v>
      </c>
      <c r="J17" s="16">
        <v>3120</v>
      </c>
      <c r="K17" s="16">
        <v>3120</v>
      </c>
      <c r="L17" s="16">
        <v>3120</v>
      </c>
      <c r="M17" s="16">
        <v>3120</v>
      </c>
      <c r="N17" s="16">
        <v>3120</v>
      </c>
      <c r="O17" s="16">
        <v>3120</v>
      </c>
      <c r="P17" s="16">
        <v>3120</v>
      </c>
      <c r="Q17" s="16">
        <v>3120</v>
      </c>
      <c r="R17" s="16">
        <v>3120</v>
      </c>
      <c r="S17" s="16">
        <v>3120</v>
      </c>
      <c r="T17" s="16">
        <v>56160</v>
      </c>
      <c r="U17" s="9"/>
      <c r="V17" s="8"/>
      <c r="W17" s="8"/>
    </row>
    <row r="18" spans="1:23" x14ac:dyDescent="0.3">
      <c r="A18" s="8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9"/>
      <c r="V18" s="8"/>
      <c r="W18" s="8"/>
    </row>
    <row r="19" spans="1:23" x14ac:dyDescent="0.3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9"/>
      <c r="V19" s="8"/>
      <c r="W19" s="8"/>
    </row>
    <row r="20" spans="1:23" x14ac:dyDescent="0.3">
      <c r="A20" s="12" t="s">
        <v>17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9"/>
      <c r="V20" s="8"/>
      <c r="W20" s="8"/>
    </row>
    <row r="21" spans="1:23" x14ac:dyDescent="0.3">
      <c r="A21" s="8" t="s">
        <v>18</v>
      </c>
      <c r="B21" s="15">
        <v>8190.33</v>
      </c>
      <c r="C21" s="15">
        <v>7608.33</v>
      </c>
      <c r="D21" s="15">
        <v>9969.33</v>
      </c>
      <c r="E21" s="15">
        <v>6086.67</v>
      </c>
      <c r="F21" s="15">
        <v>6086.67</v>
      </c>
      <c r="G21" s="15">
        <v>6086.67</v>
      </c>
      <c r="H21" s="15">
        <v>6086.67</v>
      </c>
      <c r="I21" s="15">
        <v>6086.67</v>
      </c>
      <c r="J21" s="15">
        <v>6086.67</v>
      </c>
      <c r="K21" s="15">
        <v>10651.67</v>
      </c>
      <c r="L21" s="15">
        <v>10651.67</v>
      </c>
      <c r="M21" s="15">
        <v>10651.67</v>
      </c>
      <c r="N21" s="15">
        <v>7836.67</v>
      </c>
      <c r="O21" s="15">
        <v>7836.67</v>
      </c>
      <c r="P21" s="15">
        <v>7836.67</v>
      </c>
      <c r="Q21" s="15">
        <v>6269.33</v>
      </c>
      <c r="R21" s="15">
        <v>6269.33</v>
      </c>
      <c r="S21" s="15">
        <v>6269.33</v>
      </c>
      <c r="T21" s="15">
        <v>136561</v>
      </c>
      <c r="U21" s="9"/>
      <c r="V21" s="8"/>
      <c r="W21" s="8"/>
    </row>
    <row r="22" spans="1:23" x14ac:dyDescent="0.3">
      <c r="A22" s="8" t="s">
        <v>19</v>
      </c>
      <c r="B22" s="15">
        <v>500</v>
      </c>
      <c r="C22" s="15">
        <v>500</v>
      </c>
      <c r="D22" s="15">
        <v>500</v>
      </c>
      <c r="E22" s="15">
        <v>500</v>
      </c>
      <c r="F22" s="15">
        <v>500</v>
      </c>
      <c r="G22" s="15">
        <v>500</v>
      </c>
      <c r="H22" s="15">
        <v>500</v>
      </c>
      <c r="I22" s="15">
        <v>500</v>
      </c>
      <c r="J22" s="15">
        <v>500</v>
      </c>
      <c r="K22" s="15">
        <v>500</v>
      </c>
      <c r="L22" s="15">
        <v>500</v>
      </c>
      <c r="M22" s="15">
        <v>500</v>
      </c>
      <c r="N22" s="15">
        <v>500</v>
      </c>
      <c r="O22" s="15">
        <v>500</v>
      </c>
      <c r="P22" s="15">
        <v>500</v>
      </c>
      <c r="Q22" s="15">
        <v>500</v>
      </c>
      <c r="R22" s="15">
        <v>500</v>
      </c>
      <c r="S22" s="15">
        <v>500</v>
      </c>
      <c r="T22" s="15">
        <v>9000</v>
      </c>
      <c r="U22" s="9"/>
      <c r="V22" s="8"/>
      <c r="W22" s="8"/>
    </row>
    <row r="23" spans="1:23" x14ac:dyDescent="0.3">
      <c r="A23" s="8" t="s">
        <v>20</v>
      </c>
      <c r="B23" s="15">
        <v>7225</v>
      </c>
      <c r="C23" s="15">
        <v>0</v>
      </c>
      <c r="D23" s="15">
        <v>4190</v>
      </c>
      <c r="E23" s="15" t="s">
        <v>41</v>
      </c>
      <c r="F23" s="15" t="s">
        <v>41</v>
      </c>
      <c r="G23" s="15" t="s">
        <v>41</v>
      </c>
      <c r="H23" s="15" t="s">
        <v>41</v>
      </c>
      <c r="I23" s="15" t="s">
        <v>41</v>
      </c>
      <c r="J23" s="15" t="s">
        <v>41</v>
      </c>
      <c r="K23" s="15" t="s">
        <v>41</v>
      </c>
      <c r="L23" s="15" t="s">
        <v>41</v>
      </c>
      <c r="M23" s="15">
        <v>416666.67</v>
      </c>
      <c r="N23" s="15">
        <v>416666.67</v>
      </c>
      <c r="O23" s="15">
        <v>416666.67</v>
      </c>
      <c r="P23" s="15">
        <v>416666.67</v>
      </c>
      <c r="Q23" s="15">
        <v>416666.67</v>
      </c>
      <c r="R23" s="15">
        <v>416666.67</v>
      </c>
      <c r="S23" s="15">
        <v>416666.67</v>
      </c>
      <c r="T23" s="15">
        <v>2928081.67</v>
      </c>
      <c r="U23" s="9"/>
      <c r="V23" s="8"/>
      <c r="W23" s="8"/>
    </row>
    <row r="24" spans="1:23" x14ac:dyDescent="0.3">
      <c r="A24" s="8" t="s">
        <v>21</v>
      </c>
      <c r="B24" s="15">
        <v>750</v>
      </c>
      <c r="C24" s="15">
        <v>750</v>
      </c>
      <c r="D24" s="15">
        <v>750</v>
      </c>
      <c r="E24" s="15">
        <v>750</v>
      </c>
      <c r="F24" s="15">
        <v>750</v>
      </c>
      <c r="G24" s="15">
        <v>750</v>
      </c>
      <c r="H24" s="15">
        <v>750</v>
      </c>
      <c r="I24" s="15">
        <v>750</v>
      </c>
      <c r="J24" s="15">
        <v>1750</v>
      </c>
      <c r="K24" s="15">
        <v>750</v>
      </c>
      <c r="L24" s="15">
        <v>750</v>
      </c>
      <c r="M24" s="15">
        <v>750</v>
      </c>
      <c r="N24" s="15" t="s">
        <v>41</v>
      </c>
      <c r="O24" s="15" t="s">
        <v>41</v>
      </c>
      <c r="P24" s="15" t="s">
        <v>41</v>
      </c>
      <c r="Q24" s="15" t="s">
        <v>41</v>
      </c>
      <c r="R24" s="15" t="s">
        <v>41</v>
      </c>
      <c r="S24" s="15" t="s">
        <v>41</v>
      </c>
      <c r="T24" s="15">
        <v>10000</v>
      </c>
      <c r="U24" s="9"/>
      <c r="V24" s="8"/>
      <c r="W24" s="8"/>
    </row>
    <row r="25" spans="1:23" x14ac:dyDescent="0.3">
      <c r="A25" s="8" t="s">
        <v>22</v>
      </c>
      <c r="B25" s="15">
        <v>0</v>
      </c>
      <c r="C25" s="15">
        <v>0</v>
      </c>
      <c r="D25" s="15" t="s">
        <v>41</v>
      </c>
      <c r="E25" s="15" t="s">
        <v>41</v>
      </c>
      <c r="F25" s="15" t="s">
        <v>41</v>
      </c>
      <c r="G25" s="15" t="s">
        <v>41</v>
      </c>
      <c r="H25" s="15" t="s">
        <v>41</v>
      </c>
      <c r="I25" s="15" t="s">
        <v>41</v>
      </c>
      <c r="J25" s="15" t="s">
        <v>41</v>
      </c>
      <c r="K25" s="15" t="s">
        <v>41</v>
      </c>
      <c r="L25" s="15" t="s">
        <v>41</v>
      </c>
      <c r="M25" s="15" t="s">
        <v>41</v>
      </c>
      <c r="N25" s="15" t="s">
        <v>41</v>
      </c>
      <c r="O25" s="15" t="s">
        <v>41</v>
      </c>
      <c r="P25" s="15" t="s">
        <v>41</v>
      </c>
      <c r="Q25" s="15" t="s">
        <v>41</v>
      </c>
      <c r="R25" s="15" t="s">
        <v>41</v>
      </c>
      <c r="S25" s="15" t="s">
        <v>41</v>
      </c>
      <c r="T25" s="15" t="s">
        <v>41</v>
      </c>
      <c r="U25" s="9"/>
      <c r="V25" s="8"/>
      <c r="W25" s="8"/>
    </row>
    <row r="26" spans="1:23" x14ac:dyDescent="0.3">
      <c r="A26" s="8" t="s">
        <v>23</v>
      </c>
      <c r="B26" s="15">
        <v>500</v>
      </c>
      <c r="C26" s="15">
        <v>1000</v>
      </c>
      <c r="D26" s="15">
        <v>500</v>
      </c>
      <c r="E26" s="15" t="s">
        <v>41</v>
      </c>
      <c r="F26" s="15" t="s">
        <v>41</v>
      </c>
      <c r="G26" s="15" t="s">
        <v>41</v>
      </c>
      <c r="H26" s="15" t="s">
        <v>41</v>
      </c>
      <c r="I26" s="15" t="s">
        <v>41</v>
      </c>
      <c r="J26" s="15" t="s">
        <v>41</v>
      </c>
      <c r="K26" s="15" t="s">
        <v>41</v>
      </c>
      <c r="L26" s="15" t="s">
        <v>41</v>
      </c>
      <c r="M26" s="15" t="s">
        <v>41</v>
      </c>
      <c r="N26" s="15">
        <v>500</v>
      </c>
      <c r="O26" s="15">
        <v>1000</v>
      </c>
      <c r="P26" s="15">
        <v>500</v>
      </c>
      <c r="Q26" s="15" t="s">
        <v>41</v>
      </c>
      <c r="R26" s="15" t="s">
        <v>41</v>
      </c>
      <c r="S26" s="15" t="s">
        <v>41</v>
      </c>
      <c r="T26" s="15">
        <v>4000</v>
      </c>
      <c r="U26" s="9"/>
      <c r="V26" s="8"/>
      <c r="W26" s="8"/>
    </row>
    <row r="27" spans="1:23" x14ac:dyDescent="0.3">
      <c r="A27" s="8" t="s">
        <v>24</v>
      </c>
      <c r="B27" s="15">
        <v>10</v>
      </c>
      <c r="C27" s="15">
        <v>10</v>
      </c>
      <c r="D27" s="15">
        <v>10</v>
      </c>
      <c r="E27" s="15">
        <v>10</v>
      </c>
      <c r="F27" s="15">
        <v>10</v>
      </c>
      <c r="G27" s="15">
        <v>10</v>
      </c>
      <c r="H27" s="15">
        <v>10</v>
      </c>
      <c r="I27" s="15">
        <v>10</v>
      </c>
      <c r="J27" s="15">
        <v>10</v>
      </c>
      <c r="K27" s="15">
        <v>10</v>
      </c>
      <c r="L27" s="15">
        <v>10</v>
      </c>
      <c r="M27" s="15">
        <v>10</v>
      </c>
      <c r="N27" s="15">
        <v>10</v>
      </c>
      <c r="O27" s="15">
        <v>10</v>
      </c>
      <c r="P27" s="15">
        <v>10</v>
      </c>
      <c r="Q27" s="15">
        <v>10</v>
      </c>
      <c r="R27" s="15">
        <v>10</v>
      </c>
      <c r="S27" s="15">
        <v>10</v>
      </c>
      <c r="T27" s="15">
        <v>180</v>
      </c>
      <c r="U27" s="9"/>
      <c r="V27" s="8"/>
      <c r="W27" s="8"/>
    </row>
    <row r="28" spans="1:23" x14ac:dyDescent="0.3">
      <c r="A28" s="8" t="s">
        <v>25</v>
      </c>
      <c r="B28" s="15">
        <v>40</v>
      </c>
      <c r="C28" s="15">
        <v>0</v>
      </c>
      <c r="D28" s="15" t="s">
        <v>41</v>
      </c>
      <c r="E28" s="15">
        <v>40</v>
      </c>
      <c r="F28" s="15" t="s">
        <v>41</v>
      </c>
      <c r="G28" s="15" t="s">
        <v>41</v>
      </c>
      <c r="H28" s="15">
        <v>40</v>
      </c>
      <c r="I28" s="15" t="s">
        <v>41</v>
      </c>
      <c r="J28" s="15" t="s">
        <v>41</v>
      </c>
      <c r="K28" s="15">
        <v>40</v>
      </c>
      <c r="L28" s="15" t="s">
        <v>41</v>
      </c>
      <c r="M28" s="15" t="s">
        <v>41</v>
      </c>
      <c r="N28" s="15">
        <v>40</v>
      </c>
      <c r="O28" s="15" t="s">
        <v>41</v>
      </c>
      <c r="P28" s="15" t="s">
        <v>41</v>
      </c>
      <c r="Q28" s="15">
        <v>40</v>
      </c>
      <c r="R28" s="15" t="s">
        <v>41</v>
      </c>
      <c r="S28" s="15" t="s">
        <v>41</v>
      </c>
      <c r="T28" s="15">
        <v>240</v>
      </c>
      <c r="U28" s="9"/>
      <c r="V28" s="8"/>
      <c r="W28" s="8"/>
    </row>
    <row r="29" spans="1:23" x14ac:dyDescent="0.3">
      <c r="A29" s="8" t="s">
        <v>26</v>
      </c>
      <c r="B29" s="15">
        <v>0</v>
      </c>
      <c r="C29" s="15">
        <v>0</v>
      </c>
      <c r="D29" s="15" t="s">
        <v>41</v>
      </c>
      <c r="E29" s="15" t="s">
        <v>41</v>
      </c>
      <c r="F29" s="15" t="s">
        <v>41</v>
      </c>
      <c r="G29" s="15" t="s">
        <v>41</v>
      </c>
      <c r="H29" s="15" t="s">
        <v>41</v>
      </c>
      <c r="I29" s="15" t="s">
        <v>41</v>
      </c>
      <c r="J29" s="15" t="s">
        <v>41</v>
      </c>
      <c r="K29" s="15" t="s">
        <v>41</v>
      </c>
      <c r="L29" s="15" t="s">
        <v>41</v>
      </c>
      <c r="M29" s="15">
        <v>3000</v>
      </c>
      <c r="N29" s="15" t="s">
        <v>41</v>
      </c>
      <c r="O29" s="15" t="s">
        <v>41</v>
      </c>
      <c r="P29" s="15" t="s">
        <v>41</v>
      </c>
      <c r="Q29" s="15" t="s">
        <v>41</v>
      </c>
      <c r="R29" s="15" t="s">
        <v>41</v>
      </c>
      <c r="S29" s="15" t="s">
        <v>41</v>
      </c>
      <c r="T29" s="15">
        <v>3000</v>
      </c>
      <c r="U29" s="9"/>
      <c r="V29" s="8"/>
      <c r="W29" s="8"/>
    </row>
    <row r="30" spans="1:23" x14ac:dyDescent="0.3">
      <c r="A30" s="8" t="s">
        <v>27</v>
      </c>
      <c r="B30" s="15">
        <v>47</v>
      </c>
      <c r="C30" s="15">
        <v>47</v>
      </c>
      <c r="D30" s="15">
        <v>47</v>
      </c>
      <c r="E30" s="15">
        <v>47</v>
      </c>
      <c r="F30" s="15">
        <v>47</v>
      </c>
      <c r="G30" s="15">
        <v>47</v>
      </c>
      <c r="H30" s="15">
        <v>47</v>
      </c>
      <c r="I30" s="15">
        <v>47</v>
      </c>
      <c r="J30" s="15">
        <v>47</v>
      </c>
      <c r="K30" s="15">
        <v>47</v>
      </c>
      <c r="L30" s="15">
        <v>47</v>
      </c>
      <c r="M30" s="15">
        <v>47</v>
      </c>
      <c r="N30" s="15">
        <v>47</v>
      </c>
      <c r="O30" s="15">
        <v>47</v>
      </c>
      <c r="P30" s="15">
        <v>47</v>
      </c>
      <c r="Q30" s="15">
        <v>47</v>
      </c>
      <c r="R30" s="15">
        <v>47</v>
      </c>
      <c r="S30" s="15">
        <v>47</v>
      </c>
      <c r="T30" s="15">
        <v>846</v>
      </c>
      <c r="U30" s="9"/>
      <c r="V30" s="8"/>
      <c r="W30" s="8"/>
    </row>
    <row r="31" spans="1:23" x14ac:dyDescent="0.3">
      <c r="A31" s="8" t="s">
        <v>28</v>
      </c>
      <c r="B31" s="15">
        <v>9790</v>
      </c>
      <c r="C31" s="15">
        <v>33218.04</v>
      </c>
      <c r="D31" s="15">
        <v>26996.04</v>
      </c>
      <c r="E31" s="15">
        <v>20312.04</v>
      </c>
      <c r="F31" s="15">
        <v>11348.04</v>
      </c>
      <c r="G31" s="15">
        <v>13521.04</v>
      </c>
      <c r="H31" s="15">
        <v>750</v>
      </c>
      <c r="I31" s="15">
        <v>750</v>
      </c>
      <c r="J31" s="15">
        <v>750</v>
      </c>
      <c r="K31" s="15">
        <v>750</v>
      </c>
      <c r="L31" s="15">
        <v>750</v>
      </c>
      <c r="M31" s="15">
        <v>750</v>
      </c>
      <c r="N31" s="15" t="s">
        <v>41</v>
      </c>
      <c r="O31" s="15" t="s">
        <v>41</v>
      </c>
      <c r="P31" s="15" t="s">
        <v>41</v>
      </c>
      <c r="Q31" s="15" t="s">
        <v>41</v>
      </c>
      <c r="R31" s="15" t="s">
        <v>41</v>
      </c>
      <c r="S31" s="15" t="s">
        <v>41</v>
      </c>
      <c r="T31" s="15">
        <v>119685.18</v>
      </c>
      <c r="U31" s="9"/>
      <c r="V31" s="8"/>
      <c r="W31" s="8"/>
    </row>
    <row r="32" spans="1:23" x14ac:dyDescent="0.3">
      <c r="A32" s="8" t="s">
        <v>29</v>
      </c>
      <c r="B32" s="15">
        <v>20</v>
      </c>
      <c r="C32" s="15">
        <v>20</v>
      </c>
      <c r="D32" s="15">
        <v>20</v>
      </c>
      <c r="E32" s="15">
        <v>20</v>
      </c>
      <c r="F32" s="15">
        <v>20</v>
      </c>
      <c r="G32" s="15">
        <v>20</v>
      </c>
      <c r="H32" s="15">
        <v>20</v>
      </c>
      <c r="I32" s="15">
        <v>20</v>
      </c>
      <c r="J32" s="15">
        <v>20</v>
      </c>
      <c r="K32" s="15">
        <v>20</v>
      </c>
      <c r="L32" s="15">
        <v>20</v>
      </c>
      <c r="M32" s="15">
        <v>20</v>
      </c>
      <c r="N32" s="15">
        <v>20</v>
      </c>
      <c r="O32" s="15">
        <v>20</v>
      </c>
      <c r="P32" s="15">
        <v>20</v>
      </c>
      <c r="Q32" s="15">
        <v>20</v>
      </c>
      <c r="R32" s="15">
        <v>20</v>
      </c>
      <c r="S32" s="15">
        <v>20</v>
      </c>
      <c r="T32" s="15">
        <v>360</v>
      </c>
      <c r="U32" s="9"/>
      <c r="V32" s="8"/>
      <c r="W32" s="8"/>
    </row>
    <row r="33" spans="1:23" x14ac:dyDescent="0.3">
      <c r="A33" s="8" t="s">
        <v>30</v>
      </c>
      <c r="B33" s="15">
        <v>0</v>
      </c>
      <c r="C33" s="15">
        <v>0</v>
      </c>
      <c r="D33" s="15" t="s">
        <v>41</v>
      </c>
      <c r="E33" s="15" t="s">
        <v>41</v>
      </c>
      <c r="F33" s="15" t="s">
        <v>41</v>
      </c>
      <c r="G33" s="15" t="s">
        <v>41</v>
      </c>
      <c r="H33" s="15" t="s">
        <v>41</v>
      </c>
      <c r="I33" s="15" t="s">
        <v>41</v>
      </c>
      <c r="J33" s="15" t="s">
        <v>41</v>
      </c>
      <c r="K33" s="15" t="s">
        <v>41</v>
      </c>
      <c r="L33" s="15" t="s">
        <v>41</v>
      </c>
      <c r="M33" s="15" t="s">
        <v>41</v>
      </c>
      <c r="N33" s="15" t="s">
        <v>41</v>
      </c>
      <c r="O33" s="15" t="s">
        <v>41</v>
      </c>
      <c r="P33" s="15" t="s">
        <v>41</v>
      </c>
      <c r="Q33" s="15" t="s">
        <v>41</v>
      </c>
      <c r="R33" s="15" t="s">
        <v>41</v>
      </c>
      <c r="S33" s="15" t="s">
        <v>41</v>
      </c>
      <c r="T33" s="15" t="s">
        <v>41</v>
      </c>
      <c r="U33" s="9"/>
      <c r="V33" s="8"/>
      <c r="W33" s="8"/>
    </row>
    <row r="34" spans="1:23" x14ac:dyDescent="0.3">
      <c r="A34" s="8" t="s">
        <v>31</v>
      </c>
      <c r="B34" s="15">
        <v>120</v>
      </c>
      <c r="C34" s="15">
        <v>0</v>
      </c>
      <c r="D34" s="15" t="s">
        <v>41</v>
      </c>
      <c r="E34" s="15" t="s">
        <v>41</v>
      </c>
      <c r="F34" s="15" t="s">
        <v>41</v>
      </c>
      <c r="G34" s="15" t="s">
        <v>41</v>
      </c>
      <c r="H34" s="15">
        <v>420</v>
      </c>
      <c r="I34" s="15" t="s">
        <v>41</v>
      </c>
      <c r="J34" s="15" t="s">
        <v>41</v>
      </c>
      <c r="K34" s="15" t="s">
        <v>41</v>
      </c>
      <c r="L34" s="15" t="s">
        <v>41</v>
      </c>
      <c r="M34" s="15">
        <v>130</v>
      </c>
      <c r="N34" s="15">
        <v>120</v>
      </c>
      <c r="O34" s="15" t="s">
        <v>41</v>
      </c>
      <c r="P34" s="15" t="s">
        <v>41</v>
      </c>
      <c r="Q34" s="15" t="s">
        <v>41</v>
      </c>
      <c r="R34" s="15" t="s">
        <v>41</v>
      </c>
      <c r="S34" s="15" t="s">
        <v>41</v>
      </c>
      <c r="T34" s="15">
        <v>790</v>
      </c>
      <c r="U34" s="9"/>
      <c r="V34" s="8"/>
      <c r="W34" s="8"/>
    </row>
    <row r="35" spans="1:23" x14ac:dyDescent="0.3">
      <c r="A35" s="8" t="s">
        <v>32</v>
      </c>
      <c r="B35" s="15">
        <v>88</v>
      </c>
      <c r="C35" s="15">
        <v>88</v>
      </c>
      <c r="D35" s="15">
        <v>88</v>
      </c>
      <c r="E35" s="15">
        <v>88</v>
      </c>
      <c r="F35" s="15">
        <v>88</v>
      </c>
      <c r="G35" s="15">
        <v>88</v>
      </c>
      <c r="H35" s="15">
        <v>88</v>
      </c>
      <c r="I35" s="15">
        <v>88</v>
      </c>
      <c r="J35" s="15">
        <v>88</v>
      </c>
      <c r="K35" s="15">
        <v>88</v>
      </c>
      <c r="L35" s="15">
        <v>88</v>
      </c>
      <c r="M35" s="15">
        <v>88</v>
      </c>
      <c r="N35" s="15">
        <v>88</v>
      </c>
      <c r="O35" s="15">
        <v>88</v>
      </c>
      <c r="P35" s="15">
        <v>88</v>
      </c>
      <c r="Q35" s="15">
        <v>88</v>
      </c>
      <c r="R35" s="15">
        <v>88</v>
      </c>
      <c r="S35" s="15">
        <v>88</v>
      </c>
      <c r="T35" s="15">
        <v>1584</v>
      </c>
      <c r="U35" s="9"/>
      <c r="V35" s="8"/>
      <c r="W35" s="8"/>
    </row>
    <row r="36" spans="1:23" x14ac:dyDescent="0.3">
      <c r="A36" s="8" t="s">
        <v>33</v>
      </c>
      <c r="B36" s="15">
        <v>0</v>
      </c>
      <c r="C36" s="15">
        <v>0</v>
      </c>
      <c r="D36" s="15" t="s">
        <v>41</v>
      </c>
      <c r="E36" s="15" t="s">
        <v>41</v>
      </c>
      <c r="F36" s="15" t="s">
        <v>41</v>
      </c>
      <c r="G36" s="15" t="s">
        <v>41</v>
      </c>
      <c r="H36" s="15" t="s">
        <v>41</v>
      </c>
      <c r="I36" s="15" t="s">
        <v>41</v>
      </c>
      <c r="J36" s="15" t="s">
        <v>41</v>
      </c>
      <c r="K36" s="15" t="s">
        <v>41</v>
      </c>
      <c r="L36" s="15" t="s">
        <v>41</v>
      </c>
      <c r="M36" s="15" t="s">
        <v>41</v>
      </c>
      <c r="N36" s="15" t="s">
        <v>41</v>
      </c>
      <c r="O36" s="15" t="s">
        <v>41</v>
      </c>
      <c r="P36" s="15" t="s">
        <v>41</v>
      </c>
      <c r="Q36" s="15" t="s">
        <v>41</v>
      </c>
      <c r="R36" s="15" t="s">
        <v>41</v>
      </c>
      <c r="S36" s="15" t="s">
        <v>41</v>
      </c>
      <c r="T36" s="15" t="s">
        <v>41</v>
      </c>
      <c r="U36" s="9"/>
      <c r="V36" s="8"/>
      <c r="W36" s="8"/>
    </row>
    <row r="37" spans="1:23" x14ac:dyDescent="0.3">
      <c r="A37" s="8" t="s">
        <v>34</v>
      </c>
      <c r="B37" s="15">
        <v>13</v>
      </c>
      <c r="C37" s="15">
        <v>13</v>
      </c>
      <c r="D37" s="15">
        <v>9535</v>
      </c>
      <c r="E37" s="15">
        <v>13</v>
      </c>
      <c r="F37" s="15">
        <v>13</v>
      </c>
      <c r="G37" s="15">
        <v>13</v>
      </c>
      <c r="H37" s="15">
        <v>13</v>
      </c>
      <c r="I37" s="15">
        <v>13</v>
      </c>
      <c r="J37" s="15">
        <v>13</v>
      </c>
      <c r="K37" s="15">
        <v>88</v>
      </c>
      <c r="L37" s="15">
        <v>13</v>
      </c>
      <c r="M37" s="15">
        <v>13</v>
      </c>
      <c r="N37" s="15">
        <v>13</v>
      </c>
      <c r="O37" s="15">
        <v>13</v>
      </c>
      <c r="P37" s="15">
        <v>13</v>
      </c>
      <c r="Q37" s="15">
        <v>13</v>
      </c>
      <c r="R37" s="15">
        <v>13</v>
      </c>
      <c r="S37" s="15">
        <v>13</v>
      </c>
      <c r="T37" s="15">
        <v>9831</v>
      </c>
      <c r="U37" s="9"/>
      <c r="V37" s="8"/>
      <c r="W37" s="8"/>
    </row>
    <row r="38" spans="1:23" x14ac:dyDescent="0.3">
      <c r="A38" s="13" t="s">
        <v>35</v>
      </c>
      <c r="B38" s="16">
        <v>27293.33</v>
      </c>
      <c r="C38" s="16">
        <v>43254.37</v>
      </c>
      <c r="D38" s="16">
        <v>52605.37</v>
      </c>
      <c r="E38" s="16">
        <v>27866.7</v>
      </c>
      <c r="F38" s="16">
        <v>18862.7</v>
      </c>
      <c r="G38" s="16">
        <v>21035.7</v>
      </c>
      <c r="H38" s="16">
        <v>8724.67</v>
      </c>
      <c r="I38" s="16">
        <v>8264.67</v>
      </c>
      <c r="J38" s="16">
        <v>9264.67</v>
      </c>
      <c r="K38" s="16">
        <v>12944.67</v>
      </c>
      <c r="L38" s="16">
        <v>12829.67</v>
      </c>
      <c r="M38" s="16">
        <v>432626.33</v>
      </c>
      <c r="N38" s="16">
        <v>425841.33</v>
      </c>
      <c r="O38" s="16">
        <v>426181.33</v>
      </c>
      <c r="P38" s="16">
        <v>425681.33</v>
      </c>
      <c r="Q38" s="16">
        <v>423654</v>
      </c>
      <c r="R38" s="16">
        <v>423614</v>
      </c>
      <c r="S38" s="16">
        <v>423614</v>
      </c>
      <c r="T38" s="16">
        <v>3224158.85</v>
      </c>
      <c r="U38" s="9"/>
      <c r="V38" s="8"/>
      <c r="W38" s="8"/>
    </row>
    <row r="39" spans="1:23" x14ac:dyDescent="0.3">
      <c r="A39" s="8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9"/>
      <c r="V39" s="8"/>
      <c r="W39" s="8"/>
    </row>
    <row r="40" spans="1:23" ht="15" thickBot="1" x14ac:dyDescent="0.35">
      <c r="A40" s="14" t="s">
        <v>42</v>
      </c>
      <c r="B40" s="17">
        <v>-9295.83</v>
      </c>
      <c r="C40" s="17">
        <v>-46319.37</v>
      </c>
      <c r="D40" s="17">
        <v>-14542.37</v>
      </c>
      <c r="E40" s="17">
        <v>1493.3</v>
      </c>
      <c r="F40" s="17">
        <v>8022.87</v>
      </c>
      <c r="G40" s="17">
        <v>-506.7</v>
      </c>
      <c r="H40" s="17">
        <v>18070.330000000002</v>
      </c>
      <c r="I40" s="17">
        <v>-11329.67</v>
      </c>
      <c r="J40" s="17">
        <v>-12274.67</v>
      </c>
      <c r="K40" s="17">
        <v>11850.33</v>
      </c>
      <c r="L40" s="17">
        <v>-15894.67</v>
      </c>
      <c r="M40" s="17">
        <v>-13969.67</v>
      </c>
      <c r="N40" s="17">
        <v>34315.33</v>
      </c>
      <c r="O40" s="17">
        <v>-12579.67</v>
      </c>
      <c r="P40" s="17">
        <v>-12024.67</v>
      </c>
      <c r="Q40" s="17">
        <v>23057.67</v>
      </c>
      <c r="R40" s="17">
        <v>-10012.33</v>
      </c>
      <c r="S40" s="17">
        <v>8850.67</v>
      </c>
      <c r="T40" s="17">
        <v>-53089.11</v>
      </c>
      <c r="U40" s="11"/>
      <c r="V40" s="7"/>
      <c r="W40" s="7"/>
    </row>
    <row r="41" spans="1:23" x14ac:dyDescent="0.3">
      <c r="A41" s="8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9"/>
      <c r="V41" s="8"/>
      <c r="W41" s="8"/>
    </row>
    <row r="42" spans="1:23" x14ac:dyDescent="0.3">
      <c r="A42" s="8" t="s">
        <v>37</v>
      </c>
      <c r="B42" s="15">
        <v>72208.23</v>
      </c>
      <c r="C42" s="15">
        <v>62912.4</v>
      </c>
      <c r="D42" s="15">
        <v>16593.03</v>
      </c>
      <c r="E42" s="15">
        <v>2050.66</v>
      </c>
      <c r="F42" s="15">
        <v>3543.96</v>
      </c>
      <c r="G42" s="15">
        <v>11566.82</v>
      </c>
      <c r="H42" s="15">
        <v>11060.12</v>
      </c>
      <c r="I42" s="15">
        <v>29130.45</v>
      </c>
      <c r="J42" s="15">
        <v>17800.79</v>
      </c>
      <c r="K42" s="15">
        <v>5526.12</v>
      </c>
      <c r="L42" s="15">
        <v>17376.45</v>
      </c>
      <c r="M42" s="15">
        <v>1481.79</v>
      </c>
      <c r="N42" s="15">
        <v>-12487.88</v>
      </c>
      <c r="O42" s="15">
        <v>21827.45</v>
      </c>
      <c r="P42" s="15">
        <v>9247.7900000000009</v>
      </c>
      <c r="Q42" s="15">
        <v>-2776.88</v>
      </c>
      <c r="R42" s="15">
        <v>20280.79</v>
      </c>
      <c r="S42" s="15">
        <v>10268.450000000001</v>
      </c>
      <c r="T42" s="15"/>
      <c r="U42" s="9"/>
      <c r="V42" s="8"/>
      <c r="W42" s="8"/>
    </row>
    <row r="43" spans="1:23" x14ac:dyDescent="0.3">
      <c r="A43" s="8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9"/>
      <c r="V43" s="8"/>
      <c r="W43" s="8"/>
    </row>
    <row r="44" spans="1:23" x14ac:dyDescent="0.3">
      <c r="A44" s="8" t="s">
        <v>38</v>
      </c>
      <c r="B44" s="15">
        <v>-9295.83</v>
      </c>
      <c r="C44" s="15">
        <v>-46319.37</v>
      </c>
      <c r="D44" s="15">
        <v>-14542.37</v>
      </c>
      <c r="E44" s="15">
        <v>1493.3</v>
      </c>
      <c r="F44" s="15">
        <v>8022.87</v>
      </c>
      <c r="G44" s="15">
        <v>-506.7</v>
      </c>
      <c r="H44" s="15">
        <v>18070.330000000002</v>
      </c>
      <c r="I44" s="15">
        <v>-11329.67</v>
      </c>
      <c r="J44" s="15">
        <v>-12274.67</v>
      </c>
      <c r="K44" s="15">
        <v>11850.33</v>
      </c>
      <c r="L44" s="15">
        <v>-15894.67</v>
      </c>
      <c r="M44" s="15">
        <v>-13969.67</v>
      </c>
      <c r="N44" s="15">
        <v>34315.33</v>
      </c>
      <c r="O44" s="15">
        <v>-12579.67</v>
      </c>
      <c r="P44" s="15">
        <v>-12024.67</v>
      </c>
      <c r="Q44" s="15">
        <v>23057.67</v>
      </c>
      <c r="R44" s="15">
        <v>-10012.33</v>
      </c>
      <c r="S44" s="15">
        <v>8850.67</v>
      </c>
      <c r="T44" s="15"/>
      <c r="U44" s="9"/>
      <c r="V44" s="8"/>
      <c r="W44" s="8"/>
    </row>
    <row r="45" spans="1:23" x14ac:dyDescent="0.3">
      <c r="A45" s="8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9"/>
      <c r="V45" s="8"/>
      <c r="W45" s="8"/>
    </row>
    <row r="46" spans="1:23" ht="15" thickBot="1" x14ac:dyDescent="0.35">
      <c r="A46" s="14" t="s">
        <v>39</v>
      </c>
      <c r="B46" s="17">
        <v>62912.4</v>
      </c>
      <c r="C46" s="17">
        <v>16593.03</v>
      </c>
      <c r="D46" s="18">
        <v>2050.66</v>
      </c>
      <c r="E46" s="17">
        <v>3543.96</v>
      </c>
      <c r="F46" s="17">
        <v>11566.82</v>
      </c>
      <c r="G46" s="17">
        <v>11060.12</v>
      </c>
      <c r="H46" s="17">
        <v>29130.45</v>
      </c>
      <c r="I46" s="17">
        <v>17800.79</v>
      </c>
      <c r="J46" s="17">
        <v>5526.12</v>
      </c>
      <c r="K46" s="17">
        <v>17376.45</v>
      </c>
      <c r="L46" s="17">
        <v>1481.79</v>
      </c>
      <c r="M46" s="19">
        <v>-12487.88</v>
      </c>
      <c r="N46" s="17">
        <v>21827.45</v>
      </c>
      <c r="O46" s="17">
        <v>9247.7900000000009</v>
      </c>
      <c r="P46" s="17">
        <v>-2776.88</v>
      </c>
      <c r="Q46" s="17">
        <v>20280.79</v>
      </c>
      <c r="R46" s="17">
        <v>10268.450000000001</v>
      </c>
      <c r="S46" s="17">
        <v>19119.12</v>
      </c>
      <c r="T46" s="15"/>
      <c r="U46" s="9"/>
      <c r="V46" s="8"/>
      <c r="W46" s="8"/>
    </row>
    <row r="47" spans="1:23" x14ac:dyDescent="0.3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2FC5BAFA906248A4CB2FF872BA6DA8" ma:contentTypeVersion="10" ma:contentTypeDescription="Create a new document." ma:contentTypeScope="" ma:versionID="26082852703329ed2cb65f6d3e2cfdbd">
  <xsd:schema xmlns:xsd="http://www.w3.org/2001/XMLSchema" xmlns:xs="http://www.w3.org/2001/XMLSchema" xmlns:p="http://schemas.microsoft.com/office/2006/metadata/properties" xmlns:ns2="a007eb3e-85ef-4735-a372-9b6cd9fdb31a" xmlns:ns3="cadd785f-0708-425a-a371-72380dab9948" targetNamespace="http://schemas.microsoft.com/office/2006/metadata/properties" ma:root="true" ma:fieldsID="ebd72d5f4673810e6e397fd45ea9c39e" ns2:_="" ns3:_="">
    <xsd:import namespace="a007eb3e-85ef-4735-a372-9b6cd9fdb31a"/>
    <xsd:import namespace="cadd785f-0708-425a-a371-72380dab99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07eb3e-85ef-4735-a372-9b6cd9fdb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1838a38-58f0-4a45-9368-624900ba5b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dd785f-0708-425a-a371-72380dab994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c7ab853-8c8b-4951-9aa1-bd1d5a3d9994}" ma:internalName="TaxCatchAll" ma:showField="CatchAllData" ma:web="cadd785f-0708-425a-a371-72380dab99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07eb3e-85ef-4735-a372-9b6cd9fdb31a">
      <Terms xmlns="http://schemas.microsoft.com/office/infopath/2007/PartnerControls"/>
    </lcf76f155ced4ddcb4097134ff3c332f>
    <TaxCatchAll xmlns="cadd785f-0708-425a-a371-72380dab9948" xsi:nil="true"/>
  </documentManagement>
</p:properties>
</file>

<file path=customXml/itemProps1.xml><?xml version="1.0" encoding="utf-8"?>
<ds:datastoreItem xmlns:ds="http://schemas.openxmlformats.org/officeDocument/2006/customXml" ds:itemID="{12E0C4E0-4433-497F-80DE-C06ACA2D98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872CB8-A2F2-48E9-ABD4-6FBD3F029D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07eb3e-85ef-4735-a372-9b6cd9fdb31a"/>
    <ds:schemaRef ds:uri="cadd785f-0708-425a-a371-72380dab99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166B66-8C7B-45B8-BF15-EA2A98E5F3F0}">
  <ds:schemaRefs>
    <ds:schemaRef ds:uri="http://www.w3.org/XML/1998/namespace"/>
    <ds:schemaRef ds:uri="http://purl.org/dc/terms/"/>
    <ds:schemaRef ds:uri="http://schemas.microsoft.com/office/2006/documentManagement/types"/>
    <ds:schemaRef ds:uri="a007eb3e-85ef-4735-a372-9b6cd9fdb31a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cadd785f-0708-425a-a371-72380dab9948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Financial Position</vt:lpstr>
      <vt:lpstr>Cash Graph</vt:lpstr>
      <vt:lpstr>Budgeted Cashflow Detail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Paula Watson</dc:creator>
  <cp:keywords/>
  <dc:description/>
  <cp:lastModifiedBy>Paula Watson</cp:lastModifiedBy>
  <cp:revision/>
  <dcterms:created xsi:type="dcterms:W3CDTF">2026-05-13T12:20:14Z</dcterms:created>
  <dcterms:modified xsi:type="dcterms:W3CDTF">2026-06-03T14:27:23Z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0x010100E72FC5BAFA906248A4CB2FF872BA6DA8</vt:lpwstr>
  </property>
  <property fmtid="{D5CDD505-2E9C-101B-9397-08002B2CF9AE}" pid="3" name="MediaServiceImageTags">
    <vt:lpwstr/>
  </property>
</Properties>
</file>